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/Documents/teaching/2020ss/tum.asia/exercise/"/>
    </mc:Choice>
  </mc:AlternateContent>
  <xr:revisionPtr revIDLastSave="0" documentId="13_ncr:1_{73BCFF92-5D63-2F4B-A35D-9F7512249A89}" xr6:coauthVersionLast="45" xr6:coauthVersionMax="45" xr10:uidLastSave="{00000000-0000-0000-0000-000000000000}"/>
  <bookViews>
    <workbookView xWindow="12900" yWindow="460" windowWidth="25040" windowHeight="19780" xr2:uid="{EA0CBFB0-319D-CB41-B685-D3DF42089284}"/>
  </bookViews>
  <sheets>
    <sheet name="Mode Choice Model" sheetId="1" r:id="rId1"/>
    <sheet name="Scenario Comparison" sheetId="2" r:id="rId2"/>
  </sheets>
  <definedNames>
    <definedName name="beta">#REF!</definedName>
    <definedName name="purposes">'Mode Choice Model'!$G$41:$G$43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8" i="1" s="1"/>
  <c r="B26" i="1"/>
  <c r="I53" i="1" l="1"/>
  <c r="P49" i="1"/>
  <c r="C47" i="1"/>
  <c r="I34" i="1" s="1"/>
  <c r="J34" i="1" s="1"/>
  <c r="I46" i="1"/>
  <c r="I25" i="1" s="1"/>
  <c r="J25" i="1" s="1"/>
  <c r="P44" i="1"/>
  <c r="I40" i="1"/>
  <c r="P39" i="1"/>
  <c r="I35" i="1"/>
  <c r="J35" i="1" s="1"/>
  <c r="P33" i="1"/>
  <c r="I33" i="1"/>
  <c r="J33" i="1" s="1"/>
  <c r="P28" i="1"/>
  <c r="C28" i="1"/>
  <c r="C27" i="1"/>
  <c r="E26" i="1"/>
  <c r="E27" i="1" s="1"/>
  <c r="C26" i="1"/>
  <c r="P23" i="1"/>
  <c r="K34" i="1" l="1"/>
  <c r="I26" i="1"/>
  <c r="J26" i="1" s="1"/>
  <c r="E28" i="1"/>
  <c r="I27" i="1"/>
  <c r="J27" i="1" s="1"/>
  <c r="J36" i="1"/>
  <c r="L33" i="1" s="1"/>
  <c r="K33" i="1"/>
  <c r="K35" i="1"/>
  <c r="I28" i="1"/>
  <c r="J28" i="1" s="1"/>
  <c r="K28" i="1" l="1"/>
  <c r="K27" i="1"/>
  <c r="J29" i="1"/>
  <c r="L25" i="1" s="1"/>
  <c r="M25" i="1" s="1"/>
  <c r="K26" i="1"/>
  <c r="K25" i="1"/>
  <c r="P59" i="1" l="1"/>
  <c r="Q59" i="1" s="1"/>
  <c r="P56" i="1"/>
  <c r="M33" i="1"/>
  <c r="P57" i="1"/>
  <c r="Q57" i="1" s="1"/>
  <c r="P58" i="1"/>
  <c r="Q58" i="1" s="1"/>
  <c r="P62" i="1" l="1"/>
  <c r="P63" i="1"/>
  <c r="P61" i="1"/>
  <c r="Q56" i="1"/>
  <c r="Q60" i="1" s="1"/>
  <c r="P60" i="1"/>
  <c r="P64" i="1" l="1"/>
</calcChain>
</file>

<file path=xl/sharedStrings.xml><?xml version="1.0" encoding="utf-8"?>
<sst xmlns="http://schemas.openxmlformats.org/spreadsheetml/2006/main" count="201" uniqueCount="96">
  <si>
    <t>Manual Calculation of Mode Split for One Origin-Destination Pair</t>
  </si>
  <si>
    <t>(Fill in yellow cells. Resulting Mode Split in lower right corner is updated automatically)</t>
  </si>
  <si>
    <t>Purpose</t>
  </si>
  <si>
    <t>personal</t>
  </si>
  <si>
    <t>Trips</t>
  </si>
  <si>
    <t>2nd level: occupancy</t>
  </si>
  <si>
    <t>1st level (Hwy/Transit)</t>
  </si>
  <si>
    <t>Constant HOV2</t>
  </si>
  <si>
    <t>khov2</t>
  </si>
  <si>
    <t>Mode</t>
  </si>
  <si>
    <t>In-vehicle time</t>
  </si>
  <si>
    <t>Distance</t>
  </si>
  <si>
    <t>Occ.</t>
  </si>
  <si>
    <t>ParkCosts</t>
  </si>
  <si>
    <t>AutoEgress</t>
  </si>
  <si>
    <t>Utility</t>
  </si>
  <si>
    <t>Exp(u)+k</t>
  </si>
  <si>
    <t>Probabilities</t>
  </si>
  <si>
    <t>Utilities</t>
  </si>
  <si>
    <t>business</t>
  </si>
  <si>
    <t>Drive-alone</t>
  </si>
  <si>
    <t>HOV2</t>
  </si>
  <si>
    <t>commute</t>
  </si>
  <si>
    <t>HOV3</t>
  </si>
  <si>
    <t>HOV4+</t>
  </si>
  <si>
    <t>Constant HOV3</t>
  </si>
  <si>
    <t>khov3</t>
  </si>
  <si>
    <t>Logsum:</t>
  </si>
  <si>
    <t>2nd level: Transit Mode</t>
  </si>
  <si>
    <t>Access time</t>
  </si>
  <si>
    <t>boarding time</t>
  </si>
  <si>
    <t>Transfers</t>
  </si>
  <si>
    <t>Deboarding time</t>
  </si>
  <si>
    <t>Egress time</t>
  </si>
  <si>
    <t>Fare</t>
  </si>
  <si>
    <t>Bus</t>
  </si>
  <si>
    <t>Constant HOV4+</t>
  </si>
  <si>
    <t>khov4p</t>
  </si>
  <si>
    <t>Rail</t>
  </si>
  <si>
    <t>Air</t>
  </si>
  <si>
    <t>Constant Transit</t>
  </si>
  <si>
    <t>ktrns</t>
  </si>
  <si>
    <t>Logsum coefficients:</t>
  </si>
  <si>
    <t>AO cost coefficient</t>
  </si>
  <si>
    <t>hcst</t>
  </si>
  <si>
    <t>Highway</t>
  </si>
  <si>
    <t>hwynst</t>
  </si>
  <si>
    <t>Transit</t>
  </si>
  <si>
    <t>trnnst</t>
  </si>
  <si>
    <t>Constant Rail</t>
  </si>
  <si>
    <t>krail</t>
  </si>
  <si>
    <t>In/out-of vehicle time coeff.:</t>
  </si>
  <si>
    <t>Park. cost coefficient</t>
  </si>
  <si>
    <t>pcst</t>
  </si>
  <si>
    <t>ivtc</t>
  </si>
  <si>
    <t>ovtc</t>
  </si>
  <si>
    <t>Constant Air</t>
  </si>
  <si>
    <t>kair</t>
  </si>
  <si>
    <t>Operating costs</t>
  </si>
  <si>
    <t>opercost</t>
  </si>
  <si>
    <t>Transit coefficients:</t>
  </si>
  <si>
    <t>Fare coefficient</t>
  </si>
  <si>
    <t>fcst</t>
  </si>
  <si>
    <t>in-vehicle time</t>
  </si>
  <si>
    <t>tivtc</t>
  </si>
  <si>
    <t>Resulting Mode Split</t>
  </si>
  <si>
    <t>out-of-vehicle time</t>
  </si>
  <si>
    <t>tovtc</t>
  </si>
  <si>
    <t>Persons</t>
  </si>
  <si>
    <t>Vehicles</t>
  </si>
  <si>
    <t># of transfers</t>
  </si>
  <si>
    <t>ntrf</t>
  </si>
  <si>
    <t>Total Auto</t>
  </si>
  <si>
    <t>Total Transit</t>
  </si>
  <si>
    <t>Person Trip</t>
  </si>
  <si>
    <t>|</t>
  </si>
  <si>
    <t>--------</t>
  </si>
  <si>
    <t>----------------</t>
  </si>
  <si>
    <t>-------</t>
  </si>
  <si>
    <t>Auto</t>
  </si>
  <si>
    <t>Transit*</t>
  </si>
  <si>
    <t>Shared-Ride2*</t>
  </si>
  <si>
    <t>Shared-Ride3*</t>
  </si>
  <si>
    <t>Shared-Ride4+*</t>
  </si>
  <si>
    <t>Rail*</t>
  </si>
  <si>
    <t>Air*</t>
  </si>
  <si>
    <t>*: Carries a mode-specific constant</t>
  </si>
  <si>
    <t>Nesting Structure:</t>
  </si>
  <si>
    <t>----------</t>
  </si>
  <si>
    <t>------------</t>
  </si>
  <si>
    <t>--------------</t>
  </si>
  <si>
    <t>---------</t>
  </si>
  <si>
    <t>Base Scenario</t>
  </si>
  <si>
    <t>HSR: High-Speed Rail Scenario</t>
  </si>
  <si>
    <t>HOV: Scenario with new High-Occupancy Vehcile (HOV) 3+ Lane</t>
  </si>
  <si>
    <t>Scenario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</si>
</sst>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"/>
    <numFmt numFmtId="165" formatCode="0.0000"/>
    <numFmt numFmtId="166" formatCode="0.0000000"/>
    <numFmt numFmtId="167" formatCode="0.000"/>
    <numFmt numFmtId="168" formatCode="0.000%"/>
    <numFmt numFmtId="169" formatCode="0.0"/>
  </numFmts>
  <fonts count="1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10"/>
      <color indexed="22"/>
      <name val="Arial"/>
      <family val="2"/>
    </font>
    <font>
      <b/>
      <sz val="12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47"/>
      </right>
      <top/>
      <bottom/>
      <diagonal/>
    </border>
    <border>
      <left/>
      <right style="thin">
        <color theme="9" tint="-0.24994659260841701"/>
      </right>
      <top style="thin">
        <color indexed="47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Font="1"/>
    <xf numFmtId="0" fontId="3" fillId="0" borderId="0" xfId="1" applyFont="1"/>
    <xf numFmtId="0" fontId="1" fillId="2" borderId="1" xfId="1" applyFont="1" applyFill="1" applyBorder="1"/>
    <xf numFmtId="0" fontId="4" fillId="0" borderId="0" xfId="1" applyFont="1"/>
    <xf numFmtId="0" fontId="1" fillId="0" borderId="0" xfId="1" applyFont="1" applyAlignment="1">
      <alignment horizontal="right"/>
    </xf>
    <xf numFmtId="0" fontId="5" fillId="0" borderId="0" xfId="1" applyFont="1" applyFill="1" applyBorder="1"/>
    <xf numFmtId="0" fontId="1" fillId="0" borderId="4" xfId="1" applyFont="1" applyBorder="1"/>
    <xf numFmtId="0" fontId="1" fillId="0" borderId="5" xfId="1" applyBorder="1"/>
    <xf numFmtId="0" fontId="5" fillId="0" borderId="0" xfId="1" applyFont="1"/>
    <xf numFmtId="0" fontId="5" fillId="0" borderId="6" xfId="1" applyFont="1" applyBorder="1"/>
    <xf numFmtId="0" fontId="5" fillId="0" borderId="3" xfId="1" applyFont="1" applyBorder="1"/>
    <xf numFmtId="0" fontId="5" fillId="0" borderId="7" xfId="1" applyFont="1" applyBorder="1"/>
    <xf numFmtId="0" fontId="1" fillId="0" borderId="0" xfId="1" applyFill="1" applyBorder="1" applyAlignment="1"/>
    <xf numFmtId="0" fontId="1" fillId="0" borderId="8" xfId="1" applyBorder="1"/>
    <xf numFmtId="0" fontId="1" fillId="0" borderId="9" xfId="1" applyBorder="1"/>
    <xf numFmtId="2" fontId="1" fillId="2" borderId="1" xfId="1" applyNumberFormat="1" applyFont="1" applyFill="1" applyBorder="1"/>
    <xf numFmtId="0" fontId="1" fillId="0" borderId="0" xfId="1" applyFill="1" applyBorder="1"/>
    <xf numFmtId="0" fontId="1" fillId="0" borderId="0" xfId="1" applyNumberFormat="1"/>
    <xf numFmtId="164" fontId="1" fillId="0" borderId="0" xfId="1" applyNumberFormat="1"/>
    <xf numFmtId="0" fontId="1" fillId="0" borderId="6" xfId="1" applyBorder="1"/>
    <xf numFmtId="165" fontId="1" fillId="0" borderId="3" xfId="1" applyNumberFormat="1" applyBorder="1"/>
    <xf numFmtId="165" fontId="1" fillId="0" borderId="2" xfId="1" applyNumberFormat="1" applyBorder="1"/>
    <xf numFmtId="2" fontId="1" fillId="0" borderId="0" xfId="1" applyNumberFormat="1"/>
    <xf numFmtId="0" fontId="1" fillId="0" borderId="10" xfId="1" applyBorder="1"/>
    <xf numFmtId="0" fontId="1" fillId="0" borderId="11" xfId="1" applyBorder="1"/>
    <xf numFmtId="0" fontId="1" fillId="0" borderId="3" xfId="1" applyBorder="1"/>
    <xf numFmtId="0" fontId="1" fillId="0" borderId="2" xfId="1" applyBorder="1"/>
    <xf numFmtId="166" fontId="1" fillId="0" borderId="6" xfId="1" applyNumberFormat="1" applyBorder="1"/>
    <xf numFmtId="0" fontId="1" fillId="0" borderId="0" xfId="1" applyAlignment="1">
      <alignment horizontal="right"/>
    </xf>
    <xf numFmtId="165" fontId="1" fillId="0" borderId="0" xfId="1" applyNumberFormat="1"/>
    <xf numFmtId="0" fontId="1" fillId="0" borderId="6" xfId="1" applyNumberFormat="1" applyBorder="1"/>
    <xf numFmtId="165" fontId="1" fillId="0" borderId="2" xfId="1" quotePrefix="1" applyNumberFormat="1" applyBorder="1" applyAlignment="1"/>
    <xf numFmtId="165" fontId="1" fillId="0" borderId="0" xfId="1" applyNumberFormat="1" applyFill="1" applyBorder="1"/>
    <xf numFmtId="0" fontId="1" fillId="0" borderId="0" xfId="1" applyBorder="1"/>
    <xf numFmtId="0" fontId="5" fillId="0" borderId="0" xfId="1" applyFont="1" applyBorder="1"/>
    <xf numFmtId="167" fontId="1" fillId="0" borderId="0" xfId="1" applyNumberFormat="1" applyBorder="1"/>
    <xf numFmtId="0" fontId="1" fillId="0" borderId="0" xfId="1" applyFill="1" applyBorder="1" applyAlignment="1">
      <alignment horizontal="right"/>
    </xf>
    <xf numFmtId="2" fontId="1" fillId="0" borderId="0" xfId="1" applyNumberFormat="1" applyBorder="1"/>
    <xf numFmtId="165" fontId="1" fillId="0" borderId="0" xfId="1" applyNumberFormat="1" applyBorder="1"/>
    <xf numFmtId="0" fontId="1" fillId="0" borderId="0" xfId="1" applyBorder="1" applyAlignment="1">
      <alignment horizontal="right"/>
    </xf>
    <xf numFmtId="165" fontId="1" fillId="0" borderId="12" xfId="1" quotePrefix="1" applyNumberFormat="1" applyBorder="1" applyAlignment="1"/>
    <xf numFmtId="165" fontId="1" fillId="0" borderId="12" xfId="1" applyNumberFormat="1" applyBorder="1"/>
    <xf numFmtId="0" fontId="1" fillId="0" borderId="4" xfId="1" applyFont="1" applyFill="1" applyBorder="1"/>
    <xf numFmtId="0" fontId="1" fillId="0" borderId="4" xfId="1" applyBorder="1"/>
    <xf numFmtId="0" fontId="1" fillId="0" borderId="13" xfId="1" applyBorder="1"/>
    <xf numFmtId="0" fontId="4" fillId="0" borderId="13" xfId="1" applyFont="1" applyBorder="1"/>
    <xf numFmtId="165" fontId="1" fillId="0" borderId="5" xfId="1" applyNumberFormat="1" applyBorder="1"/>
    <xf numFmtId="0" fontId="4" fillId="0" borderId="9" xfId="1" applyFont="1" applyBorder="1"/>
    <xf numFmtId="165" fontId="1" fillId="0" borderId="9" xfId="1" applyNumberFormat="1" applyBorder="1"/>
    <xf numFmtId="0" fontId="1" fillId="0" borderId="12" xfId="1" applyBorder="1"/>
    <xf numFmtId="0" fontId="4" fillId="0" borderId="11" xfId="1" applyFont="1" applyBorder="1"/>
    <xf numFmtId="165" fontId="1" fillId="0" borderId="11" xfId="1" applyNumberFormat="1" applyBorder="1"/>
    <xf numFmtId="0" fontId="1" fillId="0" borderId="0" xfId="1" applyFont="1" applyBorder="1"/>
    <xf numFmtId="0" fontId="4" fillId="0" borderId="8" xfId="1" applyFont="1" applyBorder="1"/>
    <xf numFmtId="167" fontId="1" fillId="0" borderId="9" xfId="1" applyNumberFormat="1" applyBorder="1"/>
    <xf numFmtId="0" fontId="4" fillId="0" borderId="10" xfId="1" applyFont="1" applyBorder="1"/>
    <xf numFmtId="167" fontId="1" fillId="0" borderId="11" xfId="1" applyNumberFormat="1" applyBorder="1"/>
    <xf numFmtId="0" fontId="1" fillId="0" borderId="14" xfId="1" applyBorder="1"/>
    <xf numFmtId="0" fontId="4" fillId="0" borderId="15" xfId="1" applyFont="1" applyBorder="1"/>
    <xf numFmtId="165" fontId="1" fillId="2" borderId="1" xfId="1" applyNumberFormat="1" applyFont="1" applyFill="1" applyBorder="1"/>
    <xf numFmtId="0" fontId="1" fillId="0" borderId="8" xfId="1" applyFont="1" applyBorder="1"/>
    <xf numFmtId="0" fontId="4" fillId="0" borderId="0" xfId="1" applyFont="1" applyBorder="1"/>
    <xf numFmtId="168" fontId="0" fillId="0" borderId="0" xfId="2" applyNumberFormat="1" applyFont="1" applyBorder="1"/>
    <xf numFmtId="0" fontId="1" fillId="0" borderId="10" xfId="1" applyFont="1" applyBorder="1"/>
    <xf numFmtId="0" fontId="4" fillId="0" borderId="12" xfId="1" applyFont="1" applyBorder="1"/>
    <xf numFmtId="169" fontId="0" fillId="0" borderId="16" xfId="2" applyNumberFormat="1" applyFont="1" applyBorder="1"/>
    <xf numFmtId="169" fontId="0" fillId="0" borderId="17" xfId="2" applyNumberFormat="1" applyFont="1" applyBorder="1"/>
    <xf numFmtId="0" fontId="6" fillId="0" borderId="0" xfId="1" applyFont="1" applyBorder="1"/>
    <xf numFmtId="0" fontId="7" fillId="0" borderId="0" xfId="1" applyFont="1" applyBorder="1"/>
    <xf numFmtId="0" fontId="1" fillId="5" borderId="10" xfId="1" applyFont="1" applyFill="1" applyBorder="1"/>
    <xf numFmtId="169" fontId="0" fillId="5" borderId="18" xfId="2" applyNumberFormat="1" applyFont="1" applyFill="1" applyBorder="1"/>
    <xf numFmtId="169" fontId="1" fillId="0" borderId="0" xfId="1" applyNumberFormat="1"/>
    <xf numFmtId="0" fontId="1" fillId="3" borderId="0" xfId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1" fillId="3" borderId="0" xfId="1" applyFill="1" applyBorder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quotePrefix="1" applyAlignment="1">
      <alignment horizontal="right" vertical="center"/>
    </xf>
    <xf numFmtId="0" fontId="1" fillId="0" borderId="0" xfId="1" quotePrefix="1" applyAlignment="1">
      <alignment horizontal="center" vertical="center"/>
    </xf>
    <xf numFmtId="0" fontId="1" fillId="0" borderId="0" xfId="1" quotePrefix="1" applyAlignment="1">
      <alignment horizontal="left" vertical="center"/>
    </xf>
    <xf numFmtId="0" fontId="9" fillId="0" borderId="0" xfId="1" applyFont="1" applyAlignment="1">
      <alignment horizontal="right"/>
    </xf>
    <xf numFmtId="0" fontId="10" fillId="0" borderId="0" xfId="1" applyFont="1"/>
    <xf numFmtId="0" fontId="8" fillId="0" borderId="0" xfId="0" applyFont="1"/>
    <xf numFmtId="0" fontId="11" fillId="0" borderId="0" xfId="0" applyFont="1"/>
    <xf numFmtId="0" fontId="12" fillId="0" borderId="0" xfId="1" applyFont="1"/>
  </cellXfs>
  <cellStyles count="3">
    <cellStyle name="Normal" xfId="0" builtinId="0"/>
    <cellStyle name="Normal 2" xfId="1" xr:uid="{68F7DA2B-38CA-2549-AE05-CEED88745BC3}"/>
    <cellStyle name="Percent 2" xfId="2" xr:uid="{56C4EB4E-D9AB-E443-88C4-45298433D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4A39-8494-F446-AB3B-B5AF31A0901E}">
  <sheetPr>
    <tabColor indexed="43"/>
    <pageSetUpPr fitToPage="1"/>
  </sheetPr>
  <dimension ref="A1:Q71"/>
  <sheetViews>
    <sheetView tabSelected="1" workbookViewId="0"/>
  </sheetViews>
  <sheetFormatPr baseColWidth="10" defaultColWidth="8.83203125" defaultRowHeight="13" x14ac:dyDescent="0.15"/>
  <cols>
    <col min="1" max="1" width="8.1640625" style="2" customWidth="1"/>
    <col min="2" max="2" width="17" style="2" customWidth="1"/>
    <col min="3" max="3" width="8.5" style="2" customWidth="1"/>
    <col min="4" max="4" width="9.33203125" style="2" customWidth="1"/>
    <col min="5" max="5" width="12.1640625" style="2" customWidth="1"/>
    <col min="6" max="6" width="10.83203125" style="2" customWidth="1"/>
    <col min="7" max="7" width="11" style="2" customWidth="1"/>
    <col min="8" max="8" width="8.5" style="2" bestFit="1" customWidth="1"/>
    <col min="9" max="9" width="7.83203125" style="2" customWidth="1"/>
    <col min="10" max="10" width="11.5" style="2" bestFit="1" customWidth="1"/>
    <col min="11" max="11" width="11.6640625" style="2" customWidth="1"/>
    <col min="12" max="12" width="10.5" style="2" customWidth="1"/>
    <col min="13" max="13" width="12.1640625" style="2" customWidth="1"/>
    <col min="14" max="14" width="5.6640625" style="2" customWidth="1"/>
    <col min="15" max="15" width="15.83203125" style="2" bestFit="1" customWidth="1"/>
    <col min="16" max="16" width="8.33203125" style="2" bestFit="1" customWidth="1"/>
    <col min="17" max="17" width="7.83203125" style="2" customWidth="1"/>
    <col min="18" max="16384" width="8.83203125" style="2"/>
  </cols>
  <sheetData>
    <row r="1" spans="1:15" ht="18" x14ac:dyDescent="0.2">
      <c r="A1" s="88" t="s">
        <v>0</v>
      </c>
    </row>
    <row r="2" spans="1:15" x14ac:dyDescent="0.15">
      <c r="A2" s="3" t="s">
        <v>1</v>
      </c>
    </row>
    <row r="3" spans="1:15" x14ac:dyDescent="0.15">
      <c r="A3" s="3"/>
    </row>
    <row r="4" spans="1:15" x14ac:dyDescent="0.15">
      <c r="A4" s="3"/>
    </row>
    <row r="5" spans="1:15" ht="14" x14ac:dyDescent="0.15">
      <c r="A5" s="85" t="s">
        <v>87</v>
      </c>
      <c r="I5" s="80" t="s">
        <v>74</v>
      </c>
    </row>
    <row r="6" spans="1:15" x14ac:dyDescent="0.15">
      <c r="F6" s="80"/>
      <c r="G6" s="80"/>
      <c r="H6" s="80"/>
      <c r="I6" s="80" t="s">
        <v>75</v>
      </c>
      <c r="J6" s="80"/>
      <c r="K6" s="80"/>
      <c r="L6" s="80"/>
      <c r="M6" s="80"/>
    </row>
    <row r="7" spans="1:15" ht="14" x14ac:dyDescent="0.15">
      <c r="A7" s="1"/>
      <c r="F7" s="81" t="s">
        <v>76</v>
      </c>
      <c r="G7" s="82" t="s">
        <v>77</v>
      </c>
      <c r="H7" s="82" t="s">
        <v>77</v>
      </c>
      <c r="I7" s="82" t="s">
        <v>89</v>
      </c>
      <c r="J7" s="82" t="s">
        <v>77</v>
      </c>
      <c r="K7" s="82" t="s">
        <v>77</v>
      </c>
      <c r="L7" s="82" t="s">
        <v>77</v>
      </c>
      <c r="M7" s="83" t="s">
        <v>88</v>
      </c>
    </row>
    <row r="8" spans="1:15" ht="14" x14ac:dyDescent="0.15">
      <c r="A8" s="1"/>
      <c r="F8" s="80" t="s">
        <v>75</v>
      </c>
      <c r="G8" s="80"/>
      <c r="H8" s="80"/>
      <c r="I8" s="80"/>
      <c r="J8" s="80"/>
      <c r="K8" s="80"/>
      <c r="L8" s="80"/>
      <c r="M8" s="80" t="s">
        <v>75</v>
      </c>
    </row>
    <row r="9" spans="1:15" ht="14" x14ac:dyDescent="0.15">
      <c r="A9" s="1"/>
      <c r="C9" s="80"/>
      <c r="D9" s="80"/>
      <c r="E9" s="80"/>
      <c r="F9" s="80" t="s">
        <v>79</v>
      </c>
      <c r="G9" s="80"/>
      <c r="H9" s="80"/>
      <c r="I9" s="80"/>
      <c r="J9" s="80"/>
      <c r="K9" s="80"/>
      <c r="L9" s="80"/>
      <c r="M9" s="80" t="s">
        <v>80</v>
      </c>
      <c r="N9" s="80"/>
      <c r="O9" s="80"/>
    </row>
    <row r="10" spans="1:15" ht="14" x14ac:dyDescent="0.15">
      <c r="A10" s="1"/>
      <c r="C10" s="80"/>
      <c r="D10" s="80"/>
      <c r="E10" s="80"/>
      <c r="F10" s="80" t="s">
        <v>75</v>
      </c>
      <c r="G10" s="80"/>
      <c r="H10" s="80"/>
      <c r="I10" s="80"/>
      <c r="J10" s="80"/>
      <c r="K10" s="80"/>
      <c r="L10" s="80"/>
      <c r="M10" s="80" t="s">
        <v>75</v>
      </c>
      <c r="N10" s="80"/>
      <c r="O10" s="80"/>
    </row>
    <row r="11" spans="1:15" ht="14" x14ac:dyDescent="0.15">
      <c r="A11" s="1"/>
      <c r="C11" s="81" t="s">
        <v>76</v>
      </c>
      <c r="D11" s="82" t="s">
        <v>77</v>
      </c>
      <c r="E11" s="82" t="s">
        <v>77</v>
      </c>
      <c r="F11" s="82" t="s">
        <v>77</v>
      </c>
      <c r="G11" s="82" t="s">
        <v>77</v>
      </c>
      <c r="H11" s="82" t="s">
        <v>77</v>
      </c>
      <c r="I11" s="83" t="s">
        <v>78</v>
      </c>
      <c r="J11" s="82"/>
      <c r="K11" s="81" t="s">
        <v>89</v>
      </c>
      <c r="L11" s="82" t="s">
        <v>77</v>
      </c>
      <c r="M11" s="82" t="s">
        <v>77</v>
      </c>
      <c r="N11" s="82" t="s">
        <v>91</v>
      </c>
      <c r="O11" s="83" t="s">
        <v>90</v>
      </c>
    </row>
    <row r="12" spans="1:15" ht="14" x14ac:dyDescent="0.15">
      <c r="A12" s="1"/>
      <c r="C12" s="80" t="s">
        <v>75</v>
      </c>
      <c r="D12" s="80"/>
      <c r="E12" s="80" t="s">
        <v>75</v>
      </c>
      <c r="F12" s="80"/>
      <c r="G12" s="80" t="s">
        <v>75</v>
      </c>
      <c r="H12" s="80"/>
      <c r="I12" s="80" t="s">
        <v>75</v>
      </c>
      <c r="J12" s="80"/>
      <c r="K12" s="80" t="s">
        <v>75</v>
      </c>
      <c r="L12" s="80"/>
      <c r="M12" s="80" t="s">
        <v>75</v>
      </c>
      <c r="N12" s="80"/>
      <c r="O12" s="80" t="s">
        <v>75</v>
      </c>
    </row>
    <row r="13" spans="1:15" ht="14" x14ac:dyDescent="0.15">
      <c r="A13" s="1"/>
      <c r="C13" s="80" t="s">
        <v>20</v>
      </c>
      <c r="D13" s="80"/>
      <c r="E13" s="80" t="s">
        <v>81</v>
      </c>
      <c r="F13" s="80"/>
      <c r="G13" s="80" t="s">
        <v>82</v>
      </c>
      <c r="H13" s="80"/>
      <c r="I13" s="80" t="s">
        <v>83</v>
      </c>
      <c r="J13" s="80"/>
      <c r="K13" s="80" t="s">
        <v>35</v>
      </c>
      <c r="L13" s="80"/>
      <c r="M13" s="80" t="s">
        <v>84</v>
      </c>
      <c r="N13" s="80"/>
      <c r="O13" s="80" t="s">
        <v>85</v>
      </c>
    </row>
    <row r="14" spans="1:15" ht="14" x14ac:dyDescent="0.15">
      <c r="A14" s="1"/>
    </row>
    <row r="15" spans="1:15" ht="16" x14ac:dyDescent="0.2">
      <c r="A15" s="1"/>
      <c r="C15"/>
      <c r="O15" s="84" t="s">
        <v>86</v>
      </c>
    </row>
    <row r="16" spans="1:15" ht="14" x14ac:dyDescent="0.15">
      <c r="A16" s="1"/>
    </row>
    <row r="17" spans="1:17" ht="14" x14ac:dyDescent="0.15">
      <c r="A17" s="1"/>
    </row>
    <row r="18" spans="1:17" ht="14" x14ac:dyDescent="0.15">
      <c r="A18" s="1"/>
    </row>
    <row r="19" spans="1:17" ht="14" x14ac:dyDescent="0.15">
      <c r="A19" s="4"/>
    </row>
    <row r="21" spans="1:17" x14ac:dyDescent="0.15">
      <c r="A21" s="3" t="s">
        <v>2</v>
      </c>
      <c r="B21" s="5" t="s">
        <v>3</v>
      </c>
      <c r="C21" s="3"/>
      <c r="F21" s="6"/>
      <c r="G21" s="7" t="s">
        <v>4</v>
      </c>
      <c r="H21" s="5">
        <v>1250</v>
      </c>
      <c r="I21" s="6"/>
    </row>
    <row r="23" spans="1:17" x14ac:dyDescent="0.15">
      <c r="B23" s="75" t="s">
        <v>5</v>
      </c>
      <c r="C23" s="75"/>
      <c r="D23" s="75"/>
      <c r="E23" s="75"/>
      <c r="F23" s="75"/>
      <c r="G23" s="75"/>
      <c r="H23" s="75"/>
      <c r="I23" s="75"/>
      <c r="J23" s="75"/>
      <c r="K23" s="76"/>
      <c r="L23" s="77" t="s">
        <v>6</v>
      </c>
      <c r="M23" s="78"/>
      <c r="N23" s="8"/>
      <c r="O23" s="9" t="s">
        <v>7</v>
      </c>
      <c r="P23" s="10">
        <f>VLOOKUP(B21,O24:P26,2,FALSE)</f>
        <v>-0.3</v>
      </c>
      <c r="Q23" s="6" t="s">
        <v>8</v>
      </c>
    </row>
    <row r="24" spans="1:17" x14ac:dyDescent="0.15">
      <c r="A24" s="11" t="s">
        <v>9</v>
      </c>
      <c r="B24" s="11" t="s">
        <v>10</v>
      </c>
      <c r="C24" s="11" t="s">
        <v>11</v>
      </c>
      <c r="D24" s="11" t="s">
        <v>12</v>
      </c>
      <c r="E24" s="11" t="s">
        <v>13</v>
      </c>
      <c r="F24" s="11" t="s">
        <v>14</v>
      </c>
      <c r="I24" s="11" t="s">
        <v>15</v>
      </c>
      <c r="J24" s="11" t="s">
        <v>16</v>
      </c>
      <c r="K24" s="12" t="s">
        <v>17</v>
      </c>
      <c r="L24" s="13" t="s">
        <v>18</v>
      </c>
      <c r="M24" s="14" t="s">
        <v>17</v>
      </c>
      <c r="N24" s="15"/>
      <c r="O24" s="16" t="s">
        <v>19</v>
      </c>
      <c r="P24" s="17">
        <v>-0.5</v>
      </c>
    </row>
    <row r="25" spans="1:17" x14ac:dyDescent="0.15">
      <c r="A25" s="2" t="s">
        <v>20</v>
      </c>
      <c r="B25" s="5">
        <v>228</v>
      </c>
      <c r="C25" s="5">
        <v>215</v>
      </c>
      <c r="D25" s="2">
        <v>1</v>
      </c>
      <c r="E25" s="18">
        <v>1.8</v>
      </c>
      <c r="F25" s="19">
        <v>2</v>
      </c>
      <c r="I25" s="20">
        <f>$C$47*B25+$C$48*F25+$I$40*($D$50*C25/D25)+$I$46*(E25/D25)</f>
        <v>-5.8948849000000001</v>
      </c>
      <c r="J25" s="21">
        <f>EXP(I25/$C$41)</f>
        <v>2.9260386264252656E-9</v>
      </c>
      <c r="K25" s="22">
        <f>J25/SUM($J$25:$J$28)</f>
        <v>0.545905522245135</v>
      </c>
      <c r="L25" s="23">
        <f>EXP(J29)</f>
        <v>3.3017848480340964E-3</v>
      </c>
      <c r="M25" s="24">
        <f>L25/($L$25+$L$33)</f>
        <v>0.9236318900149092</v>
      </c>
      <c r="N25" s="19"/>
      <c r="O25" s="16" t="s">
        <v>3</v>
      </c>
      <c r="P25" s="17">
        <v>-0.3</v>
      </c>
    </row>
    <row r="26" spans="1:17" x14ac:dyDescent="0.15">
      <c r="A26" s="2" t="s">
        <v>21</v>
      </c>
      <c r="B26" s="5">
        <f>B25+1</f>
        <v>229</v>
      </c>
      <c r="C26" s="19">
        <f>C25</f>
        <v>215</v>
      </c>
      <c r="D26" s="2">
        <v>2</v>
      </c>
      <c r="E26" s="25">
        <f>E25</f>
        <v>1.8</v>
      </c>
      <c r="F26" s="2">
        <v>3</v>
      </c>
      <c r="I26" s="20">
        <f>$C$47*B26+$C$48*F26+$I$40*($D$50*C26/D26)+$I$46*(E26/D26)</f>
        <v>-5.922442450000001</v>
      </c>
      <c r="J26" s="21">
        <f>IF((I26+P23)&lt;&gt;0,EXP((I26+P23)/$C$41),0)</f>
        <v>9.8195578569980899E-10</v>
      </c>
      <c r="K26" s="22">
        <f>J26/SUM($J$25:$J$28)</f>
        <v>0.18320164374213452</v>
      </c>
      <c r="L26" s="23"/>
      <c r="M26" s="24"/>
      <c r="N26" s="19"/>
      <c r="O26" s="26" t="s">
        <v>22</v>
      </c>
      <c r="P26" s="27">
        <v>-0.4</v>
      </c>
    </row>
    <row r="27" spans="1:17" x14ac:dyDescent="0.15">
      <c r="A27" s="2" t="s">
        <v>23</v>
      </c>
      <c r="B27" s="5">
        <f>B26+1</f>
        <v>230</v>
      </c>
      <c r="C27" s="19">
        <f>C25</f>
        <v>215</v>
      </c>
      <c r="D27" s="2">
        <v>3</v>
      </c>
      <c r="E27" s="25">
        <f t="shared" ref="E27:E28" si="0">E26</f>
        <v>1.8</v>
      </c>
      <c r="F27" s="2">
        <v>4</v>
      </c>
      <c r="I27" s="20">
        <f t="shared" ref="I27:I28" si="1">$C$47*B27+$C$48*F27+$I$40*($D$50*C27/D27)+$I$46*(E27/D27)</f>
        <v>-5.9816283000000006</v>
      </c>
      <c r="J27" s="21">
        <f>IF((I27+P23)&lt;&gt;0,EXP((I27+P23)/$C$41),0)</f>
        <v>8.0614216951515834E-10</v>
      </c>
      <c r="K27" s="22">
        <f>J27/SUM($J$25:$J$28)</f>
        <v>0.15040042810051357</v>
      </c>
      <c r="L27" s="28"/>
      <c r="M27" s="29"/>
      <c r="N27" s="19"/>
    </row>
    <row r="28" spans="1:17" x14ac:dyDescent="0.15">
      <c r="A28" s="2" t="s">
        <v>24</v>
      </c>
      <c r="B28" s="5">
        <f>B27+1</f>
        <v>231</v>
      </c>
      <c r="C28" s="19">
        <f>C25</f>
        <v>215</v>
      </c>
      <c r="D28" s="2">
        <v>4.0999999999999996</v>
      </c>
      <c r="E28" s="25">
        <f t="shared" si="0"/>
        <v>1.8</v>
      </c>
      <c r="F28" s="2">
        <v>5</v>
      </c>
      <c r="I28" s="20">
        <f t="shared" si="1"/>
        <v>-6.0481426585365856</v>
      </c>
      <c r="J28" s="21">
        <f>IF((I28+P23)&lt;&gt;0,EXP((I28+P23)/$C$41),0)</f>
        <v>6.4583599088734171E-10</v>
      </c>
      <c r="K28" s="30">
        <f>J28/SUM($J$25:$J$28)</f>
        <v>0.12049240591221684</v>
      </c>
      <c r="L28" s="28"/>
      <c r="M28" s="29"/>
      <c r="N28" s="19"/>
      <c r="O28" s="9" t="s">
        <v>25</v>
      </c>
      <c r="P28" s="10">
        <f>VLOOKUP(B21,O29:P31,2,FALSE)</f>
        <v>-0.8</v>
      </c>
      <c r="Q28" s="6" t="s">
        <v>26</v>
      </c>
    </row>
    <row r="29" spans="1:17" x14ac:dyDescent="0.15">
      <c r="C29" s="19"/>
      <c r="I29" s="31" t="s">
        <v>27</v>
      </c>
      <c r="J29" s="32">
        <f>LN(SUM(J25:J28))*C41</f>
        <v>-5.7132920936827629</v>
      </c>
      <c r="K29" s="33"/>
      <c r="L29" s="23"/>
      <c r="M29" s="34"/>
      <c r="N29" s="19"/>
      <c r="O29" s="16" t="s">
        <v>19</v>
      </c>
      <c r="P29" s="17">
        <v>-1</v>
      </c>
    </row>
    <row r="30" spans="1:17" x14ac:dyDescent="0.15">
      <c r="G30" s="32"/>
      <c r="H30" s="22"/>
      <c r="K30" s="35"/>
      <c r="L30" s="35"/>
      <c r="M30" s="19"/>
      <c r="N30" s="19"/>
      <c r="O30" s="16" t="s">
        <v>3</v>
      </c>
      <c r="P30" s="17">
        <v>-0.8</v>
      </c>
    </row>
    <row r="31" spans="1:17" x14ac:dyDescent="0.15">
      <c r="B31" s="79" t="s">
        <v>28</v>
      </c>
      <c r="C31" s="79"/>
      <c r="D31" s="79"/>
      <c r="E31" s="79"/>
      <c r="F31" s="79"/>
      <c r="G31" s="79"/>
      <c r="H31" s="79"/>
      <c r="I31" s="79"/>
      <c r="J31" s="79"/>
      <c r="K31" s="79"/>
      <c r="L31" s="77" t="s">
        <v>6</v>
      </c>
      <c r="M31" s="78"/>
      <c r="N31" s="36"/>
      <c r="O31" s="26" t="s">
        <v>22</v>
      </c>
      <c r="P31" s="27">
        <v>-0.9</v>
      </c>
    </row>
    <row r="32" spans="1:17" x14ac:dyDescent="0.15">
      <c r="A32" s="11" t="s">
        <v>9</v>
      </c>
      <c r="B32" s="11" t="s">
        <v>29</v>
      </c>
      <c r="C32" s="11" t="s">
        <v>30</v>
      </c>
      <c r="D32" s="11" t="s">
        <v>10</v>
      </c>
      <c r="E32" s="11" t="s">
        <v>31</v>
      </c>
      <c r="F32" s="11" t="s">
        <v>32</v>
      </c>
      <c r="G32" s="11" t="s">
        <v>33</v>
      </c>
      <c r="H32" s="11" t="s">
        <v>34</v>
      </c>
      <c r="I32" s="11" t="s">
        <v>15</v>
      </c>
      <c r="J32" s="11" t="s">
        <v>16</v>
      </c>
      <c r="K32" s="37" t="s">
        <v>17</v>
      </c>
      <c r="L32" s="13" t="s">
        <v>18</v>
      </c>
      <c r="M32" s="14" t="s">
        <v>17</v>
      </c>
      <c r="N32" s="36"/>
    </row>
    <row r="33" spans="1:17" x14ac:dyDescent="0.15">
      <c r="A33" s="2" t="s">
        <v>35</v>
      </c>
      <c r="B33" s="5">
        <v>16</v>
      </c>
      <c r="C33" s="19">
        <v>15</v>
      </c>
      <c r="D33" s="5">
        <v>246</v>
      </c>
      <c r="E33" s="5">
        <v>1</v>
      </c>
      <c r="F33" s="19">
        <v>10</v>
      </c>
      <c r="G33" s="5">
        <v>3</v>
      </c>
      <c r="H33" s="5">
        <v>7</v>
      </c>
      <c r="I33" s="38">
        <f>B33*$C$47+C33*$D$55+D33*$D$54+E33*$D$56+F33*$D$55+G33*$C$47+H33*$I$53</f>
        <v>-8.0590000000000011</v>
      </c>
      <c r="J33" s="21">
        <f>EXP(I33/C42)</f>
        <v>2.1547781736478279E-12</v>
      </c>
      <c r="K33" s="36">
        <f>J33/SUM($J$33:$J$35)</f>
        <v>0.60057664729629545</v>
      </c>
      <c r="L33" s="23">
        <f>EXP(J36+P39)</f>
        <v>2.7299952626982596E-4</v>
      </c>
      <c r="M33" s="24">
        <f>L33/($L$25+$L$33)</f>
        <v>7.6368109985090804E-2</v>
      </c>
      <c r="N33" s="36"/>
      <c r="O33" s="9" t="s">
        <v>36</v>
      </c>
      <c r="P33" s="10">
        <f>VLOOKUP(B21,O34:P36,2,FALSE)</f>
        <v>-1.2</v>
      </c>
      <c r="Q33" s="6" t="s">
        <v>37</v>
      </c>
    </row>
    <row r="34" spans="1:17" x14ac:dyDescent="0.15">
      <c r="A34" s="2" t="s">
        <v>38</v>
      </c>
      <c r="B34" s="5">
        <v>18</v>
      </c>
      <c r="C34" s="19">
        <v>15</v>
      </c>
      <c r="D34" s="5">
        <v>194</v>
      </c>
      <c r="E34" s="5">
        <v>0</v>
      </c>
      <c r="F34" s="39">
        <v>15</v>
      </c>
      <c r="G34" s="5">
        <v>7</v>
      </c>
      <c r="H34" s="5">
        <v>59</v>
      </c>
      <c r="I34" s="38">
        <f>B34*$C$47+C34*$D$55+D34*$D$54+E34*$D$56+F34*$D$55+G34*$C$47+H34*$I$53</f>
        <v>-7.6830000000000007</v>
      </c>
      <c r="J34" s="21">
        <f>IF((I34+P44)&lt;&gt;0,EXP((I34+P44)/C42),0)</f>
        <v>1.4252602794137179E-12</v>
      </c>
      <c r="K34" s="36">
        <f>J34/SUM($J$33:$J$35)</f>
        <v>0.3972464778988295</v>
      </c>
      <c r="L34" s="23"/>
      <c r="M34" s="29"/>
      <c r="N34" s="36"/>
      <c r="O34" s="16" t="s">
        <v>19</v>
      </c>
      <c r="P34" s="17">
        <v>-1.5</v>
      </c>
    </row>
    <row r="35" spans="1:17" x14ac:dyDescent="0.15">
      <c r="A35" s="2" t="s">
        <v>39</v>
      </c>
      <c r="B35" s="5">
        <v>25</v>
      </c>
      <c r="C35" s="19">
        <v>60</v>
      </c>
      <c r="D35" s="5">
        <v>34</v>
      </c>
      <c r="E35" s="5">
        <v>0</v>
      </c>
      <c r="F35" s="19">
        <v>20</v>
      </c>
      <c r="G35" s="5">
        <v>14</v>
      </c>
      <c r="H35" s="5">
        <v>285</v>
      </c>
      <c r="I35" s="38">
        <f>B35*$C$47+C35*$D$55+D35*$D$54+E35*$D$56+F35*$D$55+G35*$C$47+H35*$I$53</f>
        <v>-9.2449999999999992</v>
      </c>
      <c r="J35" s="21">
        <f>IF((I35+P44)&lt;&gt;0,EXP((I35+P44)/C42),0)</f>
        <v>7.8102975489060901E-15</v>
      </c>
      <c r="K35" s="36">
        <f>J35/SUM($J$33:$J$35)</f>
        <v>2.1768748048749862E-3</v>
      </c>
      <c r="L35" s="23"/>
      <c r="M35" s="29"/>
      <c r="N35" s="36"/>
      <c r="O35" s="16" t="s">
        <v>3</v>
      </c>
      <c r="P35" s="17">
        <v>-1.2</v>
      </c>
    </row>
    <row r="36" spans="1:17" x14ac:dyDescent="0.15">
      <c r="B36" s="36"/>
      <c r="C36" s="36"/>
      <c r="D36" s="36"/>
      <c r="E36" s="40"/>
      <c r="F36" s="36"/>
      <c r="G36" s="41"/>
      <c r="H36" s="41"/>
      <c r="I36" s="31" t="s">
        <v>27</v>
      </c>
      <c r="J36" s="32">
        <f>LN(SUM(J33:J35))*C42</f>
        <v>-7.906040498056182</v>
      </c>
      <c r="K36" s="41"/>
      <c r="L36" s="41"/>
      <c r="M36" s="36"/>
      <c r="N36" s="36"/>
      <c r="O36" s="26" t="s">
        <v>22</v>
      </c>
      <c r="P36" s="27">
        <v>-1.4</v>
      </c>
    </row>
    <row r="37" spans="1:17" x14ac:dyDescent="0.15">
      <c r="B37" s="36"/>
      <c r="C37" s="36"/>
      <c r="D37" s="36"/>
      <c r="E37" s="40"/>
      <c r="F37" s="36"/>
      <c r="G37" s="41"/>
      <c r="H37" s="41"/>
      <c r="I37" s="41"/>
      <c r="J37" s="41"/>
      <c r="K37" s="41"/>
      <c r="L37" s="41"/>
      <c r="M37" s="36"/>
      <c r="N37" s="36"/>
    </row>
    <row r="38" spans="1:17" x14ac:dyDescent="0.15">
      <c r="B38" s="36"/>
      <c r="C38" s="36"/>
      <c r="D38" s="36"/>
      <c r="E38" s="40"/>
      <c r="F38" s="36"/>
      <c r="G38" s="41"/>
      <c r="H38" s="41"/>
      <c r="I38" s="41"/>
      <c r="J38" s="41"/>
      <c r="K38" s="41"/>
      <c r="L38" s="41"/>
      <c r="M38" s="36"/>
      <c r="N38" s="36"/>
    </row>
    <row r="39" spans="1:17" x14ac:dyDescent="0.15">
      <c r="B39" s="36"/>
      <c r="C39" s="36"/>
      <c r="D39" s="36"/>
      <c r="E39" s="40"/>
      <c r="F39" s="42"/>
      <c r="G39" s="41"/>
      <c r="H39" s="43"/>
      <c r="I39" s="44"/>
      <c r="J39" s="41"/>
      <c r="K39" s="41"/>
      <c r="L39" s="41"/>
      <c r="M39" s="36"/>
      <c r="N39" s="36"/>
      <c r="O39" s="45" t="s">
        <v>40</v>
      </c>
      <c r="P39" s="10">
        <f>VLOOKUP(B21,O40:P42,2,FALSE)</f>
        <v>-0.3</v>
      </c>
      <c r="Q39" s="6" t="s">
        <v>41</v>
      </c>
    </row>
    <row r="40" spans="1:17" x14ac:dyDescent="0.15">
      <c r="B40" s="46" t="s">
        <v>42</v>
      </c>
      <c r="C40" s="47"/>
      <c r="D40" s="10"/>
      <c r="E40" s="40"/>
      <c r="G40" s="46" t="s">
        <v>43</v>
      </c>
      <c r="H40" s="48" t="s">
        <v>44</v>
      </c>
      <c r="I40" s="49">
        <f>VLOOKUP(B21,G41:I43,3,FALSE)</f>
        <v>-3.8999999999999998E-3</v>
      </c>
      <c r="J40" s="3"/>
      <c r="N40" s="36"/>
      <c r="O40" s="16" t="s">
        <v>19</v>
      </c>
      <c r="P40" s="17">
        <v>-1</v>
      </c>
    </row>
    <row r="41" spans="1:17" x14ac:dyDescent="0.15">
      <c r="B41" s="16" t="s">
        <v>45</v>
      </c>
      <c r="C41" s="36">
        <v>0.3</v>
      </c>
      <c r="D41" s="50" t="s">
        <v>46</v>
      </c>
      <c r="E41" s="40"/>
      <c r="G41" s="16" t="s">
        <v>19</v>
      </c>
      <c r="H41" s="36"/>
      <c r="I41" s="51">
        <v>-8.9999999999999998E-4</v>
      </c>
      <c r="J41" s="3"/>
      <c r="N41" s="36"/>
      <c r="O41" s="16" t="s">
        <v>3</v>
      </c>
      <c r="P41" s="17">
        <v>-0.3</v>
      </c>
    </row>
    <row r="42" spans="1:17" x14ac:dyDescent="0.15">
      <c r="B42" s="26" t="s">
        <v>47</v>
      </c>
      <c r="C42" s="52">
        <v>0.3</v>
      </c>
      <c r="D42" s="53" t="s">
        <v>48</v>
      </c>
      <c r="E42" s="40"/>
      <c r="G42" s="16" t="s">
        <v>3</v>
      </c>
      <c r="H42" s="36"/>
      <c r="I42" s="51">
        <v>-3.8999999999999998E-3</v>
      </c>
      <c r="N42" s="36"/>
      <c r="O42" s="26" t="s">
        <v>22</v>
      </c>
      <c r="P42" s="27">
        <v>-0.1</v>
      </c>
    </row>
    <row r="43" spans="1:17" x14ac:dyDescent="0.15">
      <c r="B43" s="36"/>
      <c r="C43" s="36"/>
      <c r="D43" s="36"/>
      <c r="E43" s="40"/>
      <c r="G43" s="26" t="s">
        <v>22</v>
      </c>
      <c r="H43" s="52"/>
      <c r="I43" s="54">
        <v>-2.8999999999999998E-3</v>
      </c>
      <c r="N43" s="36"/>
    </row>
    <row r="44" spans="1:17" x14ac:dyDescent="0.15">
      <c r="B44" s="36"/>
      <c r="C44" s="36"/>
      <c r="D44" s="36"/>
      <c r="E44" s="36"/>
      <c r="N44" s="36"/>
      <c r="O44" s="9" t="s">
        <v>49</v>
      </c>
      <c r="P44" s="10">
        <f>VLOOKUP(B21,O45:P47,2,FALSE)</f>
        <v>-0.5</v>
      </c>
      <c r="Q44" s="6" t="s">
        <v>50</v>
      </c>
    </row>
    <row r="45" spans="1:17" x14ac:dyDescent="0.15">
      <c r="I45" s="52"/>
      <c r="O45" s="16" t="s">
        <v>19</v>
      </c>
      <c r="P45" s="17">
        <v>-0.1</v>
      </c>
    </row>
    <row r="46" spans="1:17" x14ac:dyDescent="0.15">
      <c r="B46" s="9" t="s">
        <v>51</v>
      </c>
      <c r="C46" s="10"/>
      <c r="D46" s="55"/>
      <c r="E46" s="55"/>
      <c r="G46" s="46" t="s">
        <v>52</v>
      </c>
      <c r="H46" s="48" t="s">
        <v>53</v>
      </c>
      <c r="I46" s="10">
        <f>VLOOKUP(B21,G47:I49,3,FALSE)</f>
        <v>-1.2E-2</v>
      </c>
      <c r="J46" s="36"/>
      <c r="O46" s="16" t="s">
        <v>3</v>
      </c>
      <c r="P46" s="17">
        <v>-0.5</v>
      </c>
    </row>
    <row r="47" spans="1:17" x14ac:dyDescent="0.15">
      <c r="B47" s="56" t="s">
        <v>54</v>
      </c>
      <c r="C47" s="17">
        <f>-0.025</f>
        <v>-2.5000000000000001E-2</v>
      </c>
      <c r="D47" s="36"/>
      <c r="E47" s="36"/>
      <c r="G47" s="16" t="s">
        <v>19</v>
      </c>
      <c r="H47" s="36"/>
      <c r="I47" s="57">
        <v>-6.0000000000000001E-3</v>
      </c>
      <c r="O47" s="26" t="s">
        <v>22</v>
      </c>
      <c r="P47" s="27">
        <v>0</v>
      </c>
    </row>
    <row r="48" spans="1:17" x14ac:dyDescent="0.15">
      <c r="B48" s="58" t="s">
        <v>55</v>
      </c>
      <c r="C48" s="27">
        <v>-0.05</v>
      </c>
      <c r="D48" s="36"/>
      <c r="E48" s="36"/>
      <c r="G48" s="16" t="s">
        <v>3</v>
      </c>
      <c r="H48" s="36"/>
      <c r="I48" s="57">
        <v>-1.2E-2</v>
      </c>
    </row>
    <row r="49" spans="2:17" x14ac:dyDescent="0.15">
      <c r="G49" s="26" t="s">
        <v>22</v>
      </c>
      <c r="H49" s="52"/>
      <c r="I49" s="59">
        <v>-0.01</v>
      </c>
      <c r="O49" s="9" t="s">
        <v>56</v>
      </c>
      <c r="P49" s="10">
        <f>VLOOKUP(B21,O50:P52,2,FALSE)</f>
        <v>-1</v>
      </c>
      <c r="Q49" s="6" t="s">
        <v>57</v>
      </c>
    </row>
    <row r="50" spans="2:17" x14ac:dyDescent="0.15">
      <c r="B50" s="60" t="s">
        <v>58</v>
      </c>
      <c r="C50" s="61" t="s">
        <v>59</v>
      </c>
      <c r="D50" s="62">
        <v>8.7400000000000005E-2</v>
      </c>
      <c r="O50" s="16" t="s">
        <v>19</v>
      </c>
      <c r="P50" s="17">
        <v>0.5</v>
      </c>
    </row>
    <row r="51" spans="2:17" x14ac:dyDescent="0.15">
      <c r="B51" s="3"/>
      <c r="O51" s="16" t="s">
        <v>3</v>
      </c>
      <c r="P51" s="17">
        <v>-1</v>
      </c>
    </row>
    <row r="52" spans="2:17" x14ac:dyDescent="0.15">
      <c r="O52" s="26" t="s">
        <v>22</v>
      </c>
      <c r="P52" s="27">
        <v>-0.5</v>
      </c>
    </row>
    <row r="53" spans="2:17" x14ac:dyDescent="0.15">
      <c r="B53" s="9" t="s">
        <v>60</v>
      </c>
      <c r="C53" s="47"/>
      <c r="D53" s="10"/>
      <c r="E53" s="36"/>
      <c r="G53" s="9" t="s">
        <v>61</v>
      </c>
      <c r="H53" s="48" t="s">
        <v>62</v>
      </c>
      <c r="I53" s="10">
        <f>VLOOKUP(B21,G54:I56,3,FALSE)</f>
        <v>-1.2E-2</v>
      </c>
      <c r="J53" s="36"/>
    </row>
    <row r="54" spans="2:17" x14ac:dyDescent="0.15">
      <c r="B54" s="63" t="s">
        <v>63</v>
      </c>
      <c r="C54" s="64" t="s">
        <v>64</v>
      </c>
      <c r="D54" s="17">
        <v>-2.5000000000000001E-2</v>
      </c>
      <c r="E54" s="36"/>
      <c r="G54" s="16" t="s">
        <v>19</v>
      </c>
      <c r="H54" s="36"/>
      <c r="I54" s="57">
        <v>-6.0000000000000001E-3</v>
      </c>
      <c r="L54" s="38"/>
      <c r="O54" s="37" t="s">
        <v>65</v>
      </c>
    </row>
    <row r="55" spans="2:17" ht="16" x14ac:dyDescent="0.2">
      <c r="B55" s="63" t="s">
        <v>66</v>
      </c>
      <c r="C55" s="64" t="s">
        <v>67</v>
      </c>
      <c r="D55" s="17">
        <v>-0.05</v>
      </c>
      <c r="E55" s="36"/>
      <c r="G55" s="16" t="s">
        <v>3</v>
      </c>
      <c r="H55" s="36"/>
      <c r="I55" s="57">
        <v>-1.2E-2</v>
      </c>
      <c r="L55" s="38"/>
      <c r="M55" s="65"/>
      <c r="O55" s="3" t="s">
        <v>9</v>
      </c>
      <c r="P55" s="55" t="s">
        <v>68</v>
      </c>
      <c r="Q55" s="3" t="s">
        <v>69</v>
      </c>
    </row>
    <row r="56" spans="2:17" ht="16" x14ac:dyDescent="0.2">
      <c r="B56" s="66" t="s">
        <v>70</v>
      </c>
      <c r="C56" s="67" t="s">
        <v>71</v>
      </c>
      <c r="D56" s="27">
        <v>-0.1</v>
      </c>
      <c r="E56" s="36"/>
      <c r="G56" s="26" t="s">
        <v>22</v>
      </c>
      <c r="H56" s="52"/>
      <c r="I56" s="59">
        <v>-0.01</v>
      </c>
      <c r="L56" s="38"/>
      <c r="M56" s="65"/>
      <c r="O56" s="46" t="s">
        <v>20</v>
      </c>
      <c r="P56" s="68">
        <f>$H$21*K25*M25</f>
        <v>630.26968660106263</v>
      </c>
      <c r="Q56" s="68">
        <f>P56/D25</f>
        <v>630.26968660106263</v>
      </c>
    </row>
    <row r="57" spans="2:17" ht="16" x14ac:dyDescent="0.2">
      <c r="L57" s="38"/>
      <c r="M57" s="65"/>
      <c r="O57" s="16" t="s">
        <v>21</v>
      </c>
      <c r="P57" s="69">
        <f>$H$21*K26*M25</f>
        <v>211.51360057923222</v>
      </c>
      <c r="Q57" s="69">
        <f t="shared" ref="Q57:Q59" si="2">P57/D26</f>
        <v>105.75680028961611</v>
      </c>
    </row>
    <row r="58" spans="2:17" ht="16" x14ac:dyDescent="0.2">
      <c r="B58" s="70"/>
      <c r="C58" s="70"/>
      <c r="D58" s="70"/>
      <c r="E58" s="70"/>
      <c r="L58" s="36"/>
      <c r="M58" s="65"/>
      <c r="O58" s="16" t="s">
        <v>23</v>
      </c>
      <c r="P58" s="69">
        <f>$H$21*K27*M25</f>
        <v>173.64328958191101</v>
      </c>
      <c r="Q58" s="69">
        <f t="shared" si="2"/>
        <v>57.881096527303669</v>
      </c>
    </row>
    <row r="59" spans="2:17" ht="16" x14ac:dyDescent="0.2">
      <c r="B59" s="70"/>
      <c r="C59" s="70"/>
      <c r="D59" s="70"/>
      <c r="E59" s="70"/>
      <c r="L59" s="36"/>
      <c r="M59" s="65"/>
      <c r="O59" s="16" t="s">
        <v>24</v>
      </c>
      <c r="P59" s="69">
        <f>$H$21*K28*M25</f>
        <v>139.1132857564306</v>
      </c>
      <c r="Q59" s="69">
        <f t="shared" si="2"/>
        <v>33.930069696690396</v>
      </c>
    </row>
    <row r="60" spans="2:17" ht="16" x14ac:dyDescent="0.2">
      <c r="B60" s="70"/>
      <c r="C60" s="70"/>
      <c r="D60" s="70"/>
      <c r="E60" s="70"/>
      <c r="L60" s="71"/>
      <c r="M60" s="65"/>
      <c r="O60" s="72" t="s">
        <v>72</v>
      </c>
      <c r="P60" s="73">
        <f>SUM(P56:P59)</f>
        <v>1154.5398625186363</v>
      </c>
      <c r="Q60" s="73">
        <f>SUM(Q56:Q59)</f>
        <v>827.83765311467278</v>
      </c>
    </row>
    <row r="61" spans="2:17" ht="16" x14ac:dyDescent="0.2">
      <c r="L61" s="71"/>
      <c r="M61" s="65"/>
      <c r="O61" s="46" t="s">
        <v>35</v>
      </c>
      <c r="P61" s="68">
        <f>$H$21*K33*$M$33</f>
        <v>57.331129319000716</v>
      </c>
      <c r="Q61" s="74"/>
    </row>
    <row r="62" spans="2:17" ht="16" x14ac:dyDescent="0.2">
      <c r="L62" s="36"/>
      <c r="M62" s="65"/>
      <c r="O62" s="16" t="s">
        <v>38</v>
      </c>
      <c r="P62" s="69">
        <f>$H$21*K34*$M$33</f>
        <v>37.921203394209698</v>
      </c>
      <c r="Q62" s="74"/>
    </row>
    <row r="63" spans="2:17" ht="16" x14ac:dyDescent="0.2">
      <c r="L63" s="71"/>
      <c r="M63" s="36"/>
      <c r="O63" s="16" t="s">
        <v>39</v>
      </c>
      <c r="P63" s="69">
        <f>$H$21*K35*$M$33</f>
        <v>0.20780476815308255</v>
      </c>
      <c r="Q63" s="74"/>
    </row>
    <row r="64" spans="2:17" ht="16" x14ac:dyDescent="0.2">
      <c r="L64" s="71"/>
      <c r="M64" s="36"/>
      <c r="O64" s="72" t="s">
        <v>73</v>
      </c>
      <c r="P64" s="73">
        <f>SUM(P61:P63)</f>
        <v>95.460137481363503</v>
      </c>
      <c r="Q64" s="74"/>
    </row>
    <row r="71" spans="8:15" x14ac:dyDescent="0.15">
      <c r="H71" s="80"/>
      <c r="I71" s="80"/>
      <c r="J71" s="80"/>
      <c r="L71" s="80"/>
      <c r="M71" s="80"/>
      <c r="N71" s="80"/>
      <c r="O71" s="80"/>
    </row>
  </sheetData>
  <mergeCells count="4">
    <mergeCell ref="B23:K23"/>
    <mergeCell ref="L23:M23"/>
    <mergeCell ref="B31:K31"/>
    <mergeCell ref="L31:M31"/>
  </mergeCells>
  <dataValidations count="1">
    <dataValidation type="list" allowBlank="1" showInputMessage="1" showErrorMessage="1" sqref="B21" xr:uid="{830DBA1C-862E-8C4E-8A76-3961115360D3}">
      <formula1>$G$41:$G$43</formula1>
    </dataValidation>
  </dataValidations>
  <pageMargins left="0.75" right="0.75" top="1" bottom="1" header="0.5" footer="0.5"/>
  <pageSetup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3FAF-8433-C24C-9EA2-5425928960BD}">
  <dimension ref="A1:K14"/>
  <sheetViews>
    <sheetView workbookViewId="0"/>
  </sheetViews>
  <sheetFormatPr baseColWidth="10" defaultRowHeight="16" x14ac:dyDescent="0.2"/>
  <sheetData>
    <row r="1" spans="1:11" ht="21" x14ac:dyDescent="0.25">
      <c r="A1" s="87" t="s">
        <v>95</v>
      </c>
    </row>
    <row r="3" spans="1:11" x14ac:dyDescent="0.2">
      <c r="A3" s="86" t="s">
        <v>92</v>
      </c>
      <c r="B3" s="86"/>
      <c r="C3" s="86"/>
      <c r="D3" s="86"/>
      <c r="E3" s="86" t="s">
        <v>93</v>
      </c>
      <c r="F3" s="86"/>
      <c r="G3" s="86"/>
      <c r="H3" s="86"/>
      <c r="I3" s="86" t="s">
        <v>94</v>
      </c>
    </row>
    <row r="4" spans="1:11" x14ac:dyDescent="0.2">
      <c r="A4" s="37"/>
      <c r="B4" s="2"/>
      <c r="C4" s="2"/>
      <c r="E4" s="37"/>
      <c r="F4" s="2"/>
      <c r="G4" s="2"/>
      <c r="I4" s="37"/>
      <c r="J4" s="2"/>
      <c r="K4" s="2"/>
    </row>
    <row r="5" spans="1:11" x14ac:dyDescent="0.2">
      <c r="A5" s="3" t="s">
        <v>9</v>
      </c>
      <c r="B5" s="55" t="s">
        <v>68</v>
      </c>
      <c r="C5" s="3" t="s">
        <v>69</v>
      </c>
      <c r="E5" s="3" t="s">
        <v>9</v>
      </c>
      <c r="F5" s="55" t="s">
        <v>68</v>
      </c>
      <c r="G5" s="3" t="s">
        <v>69</v>
      </c>
      <c r="I5" s="3" t="s">
        <v>9</v>
      </c>
      <c r="J5" s="55" t="s">
        <v>68</v>
      </c>
      <c r="K5" s="3" t="s">
        <v>69</v>
      </c>
    </row>
    <row r="6" spans="1:11" x14ac:dyDescent="0.2">
      <c r="A6" s="46" t="s">
        <v>20</v>
      </c>
      <c r="B6" s="68"/>
      <c r="C6" s="68"/>
      <c r="E6" s="46" t="s">
        <v>20</v>
      </c>
      <c r="F6" s="68"/>
      <c r="G6" s="68"/>
      <c r="I6" s="46" t="s">
        <v>20</v>
      </c>
      <c r="J6" s="68"/>
      <c r="K6" s="68"/>
    </row>
    <row r="7" spans="1:11" x14ac:dyDescent="0.2">
      <c r="A7" s="16" t="s">
        <v>21</v>
      </c>
      <c r="B7" s="69"/>
      <c r="C7" s="69"/>
      <c r="E7" s="16" t="s">
        <v>21</v>
      </c>
      <c r="F7" s="69"/>
      <c r="G7" s="69"/>
      <c r="I7" s="16" t="s">
        <v>21</v>
      </c>
      <c r="J7" s="69"/>
      <c r="K7" s="69"/>
    </row>
    <row r="8" spans="1:11" x14ac:dyDescent="0.2">
      <c r="A8" s="16" t="s">
        <v>23</v>
      </c>
      <c r="B8" s="69"/>
      <c r="C8" s="69"/>
      <c r="E8" s="16" t="s">
        <v>23</v>
      </c>
      <c r="F8" s="69"/>
      <c r="G8" s="69"/>
      <c r="I8" s="16" t="s">
        <v>23</v>
      </c>
      <c r="J8" s="69"/>
      <c r="K8" s="69"/>
    </row>
    <row r="9" spans="1:11" x14ac:dyDescent="0.2">
      <c r="A9" s="16" t="s">
        <v>24</v>
      </c>
      <c r="B9" s="69"/>
      <c r="C9" s="69"/>
      <c r="E9" s="16" t="s">
        <v>24</v>
      </c>
      <c r="F9" s="69"/>
      <c r="G9" s="69"/>
      <c r="I9" s="16" t="s">
        <v>24</v>
      </c>
      <c r="J9" s="69"/>
      <c r="K9" s="69"/>
    </row>
    <row r="10" spans="1:11" x14ac:dyDescent="0.2">
      <c r="A10" s="72" t="s">
        <v>72</v>
      </c>
      <c r="B10" s="73"/>
      <c r="C10" s="73"/>
      <c r="E10" s="72" t="s">
        <v>72</v>
      </c>
      <c r="F10" s="73"/>
      <c r="G10" s="73"/>
      <c r="I10" s="72" t="s">
        <v>72</v>
      </c>
      <c r="J10" s="73"/>
      <c r="K10" s="73"/>
    </row>
    <row r="11" spans="1:11" x14ac:dyDescent="0.2">
      <c r="A11" s="46" t="s">
        <v>35</v>
      </c>
      <c r="B11" s="68"/>
      <c r="C11" s="74"/>
      <c r="E11" s="46" t="s">
        <v>35</v>
      </c>
      <c r="F11" s="68"/>
      <c r="G11" s="74"/>
      <c r="I11" s="46" t="s">
        <v>35</v>
      </c>
      <c r="J11" s="68"/>
      <c r="K11" s="74"/>
    </row>
    <row r="12" spans="1:11" x14ac:dyDescent="0.2">
      <c r="A12" s="16" t="s">
        <v>38</v>
      </c>
      <c r="B12" s="69"/>
      <c r="C12" s="74"/>
      <c r="E12" s="16" t="s">
        <v>38</v>
      </c>
      <c r="F12" s="69"/>
      <c r="G12" s="74"/>
      <c r="I12" s="16" t="s">
        <v>38</v>
      </c>
      <c r="J12" s="69"/>
      <c r="K12" s="74"/>
    </row>
    <row r="13" spans="1:11" x14ac:dyDescent="0.2">
      <c r="A13" s="16" t="s">
        <v>39</v>
      </c>
      <c r="B13" s="69"/>
      <c r="C13" s="74"/>
      <c r="E13" s="16" t="s">
        <v>39</v>
      </c>
      <c r="F13" s="69"/>
      <c r="G13" s="74"/>
      <c r="I13" s="16" t="s">
        <v>39</v>
      </c>
      <c r="J13" s="69"/>
      <c r="K13" s="74"/>
    </row>
    <row r="14" spans="1:11" x14ac:dyDescent="0.2">
      <c r="A14" s="72" t="s">
        <v>73</v>
      </c>
      <c r="B14" s="73"/>
      <c r="C14" s="74"/>
      <c r="E14" s="72" t="s">
        <v>73</v>
      </c>
      <c r="F14" s="73"/>
      <c r="G14" s="74"/>
      <c r="I14" s="72" t="s">
        <v>73</v>
      </c>
      <c r="J14" s="73"/>
      <c r="K1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 Choice Model</vt:lpstr>
      <vt:lpstr>Scenario Comparison</vt:lpstr>
      <vt:lpstr>purposes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Moeckel</dc:creator>
  <cp:lastModifiedBy>Rolf Moeckel</cp:lastModifiedBy>
  <dcterms:created xsi:type="dcterms:W3CDTF">2019-08-29T16:13:57Z</dcterms:created>
  <dcterms:modified xsi:type="dcterms:W3CDTF">2020-10-22T08:45:13Z</dcterms:modified>
</cp:coreProperties>
</file>